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tth\Documents\EXCEL DOX\"/>
    </mc:Choice>
  </mc:AlternateContent>
  <xr:revisionPtr revIDLastSave="0" documentId="13_ncr:1_{A0B90812-1F0C-4B2E-A097-9320126CC203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C10" i="1"/>
  <c r="F9" i="1"/>
  <c r="E9" i="1"/>
  <c r="F16" i="1"/>
  <c r="C11" i="1"/>
  <c r="F8" i="1"/>
  <c r="F7" i="1"/>
  <c r="F6" i="1"/>
  <c r="F5" i="1"/>
  <c r="F4" i="1"/>
  <c r="E7" i="1"/>
  <c r="E5" i="1"/>
  <c r="E8" i="1"/>
  <c r="E4" i="1"/>
  <c r="E6" i="1"/>
  <c r="E13" i="1"/>
  <c r="C12" i="1" l="1"/>
  <c r="C14" i="1" s="1"/>
  <c r="F31" i="1" s="1"/>
  <c r="F11" i="1"/>
  <c r="E11" i="1"/>
  <c r="E14" i="1" s="1"/>
  <c r="C16" i="1" l="1"/>
  <c r="C17" i="1"/>
  <c r="F14" i="1"/>
  <c r="F41" i="1" l="1"/>
  <c r="F38" i="1"/>
</calcChain>
</file>

<file path=xl/sharedStrings.xml><?xml version="1.0" encoding="utf-8"?>
<sst xmlns="http://schemas.openxmlformats.org/spreadsheetml/2006/main" count="33" uniqueCount="32">
  <si>
    <t>Basic Empty Weight</t>
  </si>
  <si>
    <t>Baggage (200lbs Max)</t>
  </si>
  <si>
    <t>Fuel Allowance (Eng Start,Taxi,&amp; Run Up</t>
  </si>
  <si>
    <t>Weight (Lbs)</t>
  </si>
  <si>
    <t>Moment (In-Lbs)</t>
  </si>
  <si>
    <t>Centre of Gravity</t>
  </si>
  <si>
    <t>Ramp Weight (2558 Lbs Max)</t>
  </si>
  <si>
    <t>Fuel Ltrs</t>
  </si>
  <si>
    <t>1 US Gal = 6 Lbs                               1 Litre =  1.59 Lbs</t>
  </si>
  <si>
    <t>Takeoff Weight (Max 2550 Lbs/1157 Kg)</t>
  </si>
  <si>
    <r>
      <t xml:space="preserve">Safety Equipment </t>
    </r>
    <r>
      <rPr>
        <sz val="10"/>
        <color theme="1"/>
        <rFont val="Calibri"/>
        <family val="2"/>
        <scheme val="minor"/>
      </rPr>
      <t>(in rear seat area)</t>
    </r>
  </si>
  <si>
    <t>Fuel   (181 Ltrs Max Tabs 128 Ltrs)</t>
  </si>
  <si>
    <t>Ltrs</t>
  </si>
  <si>
    <t>G-JACH</t>
  </si>
  <si>
    <t>Pilot</t>
  </si>
  <si>
    <t>Front Passenger</t>
  </si>
  <si>
    <t>Passenger Rear Seats</t>
  </si>
  <si>
    <t>Very approximate endurance allowing for 20 min diversion, 40 min hold and 9ltr contingency.</t>
  </si>
  <si>
    <t>Zero Fuel Weight</t>
  </si>
  <si>
    <t>Pilot:</t>
  </si>
  <si>
    <t>Destination Airfield:</t>
  </si>
  <si>
    <t>Departure Airfield:</t>
  </si>
  <si>
    <t>Date of Flight:</t>
  </si>
  <si>
    <t>Aircraft Weight &amp; Balance</t>
  </si>
  <si>
    <t>AFTL</t>
  </si>
  <si>
    <t>Version 1.0  Aug 2022</t>
  </si>
  <si>
    <t>Enter your weights in the yellow boxes</t>
  </si>
  <si>
    <t>Check weight &amp; moment with C.G. envelope below</t>
  </si>
  <si>
    <r>
      <t xml:space="preserve">For information; Lbs converted to </t>
    </r>
    <r>
      <rPr>
        <b/>
        <sz val="8"/>
        <color rgb="FF002060"/>
        <rFont val="Calibri"/>
        <family val="2"/>
        <scheme val="minor"/>
      </rPr>
      <t>Kgs</t>
    </r>
  </si>
  <si>
    <t>1 US Gal = 3.78541 Litre                1 Litre =  0.26417 US Gal</t>
  </si>
  <si>
    <t>Endurance: hrs</t>
  </si>
  <si>
    <r>
      <rPr>
        <b/>
        <sz val="10"/>
        <color theme="3"/>
        <rFont val="Calibri"/>
        <family val="2"/>
        <scheme val="minor"/>
      </rPr>
      <t>Arm Datum</t>
    </r>
    <r>
      <rPr>
        <b/>
        <sz val="8"/>
        <color theme="3"/>
        <rFont val="Calibri"/>
        <family val="2"/>
        <scheme val="minor"/>
      </rPr>
      <t xml:space="preserve"> (Inches)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</si>
</sst>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/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 applyAlignment="1" applyProtection="1"/>
    <xf numFmtId="164" fontId="0" fillId="2" borderId="2" xfId="0" applyNumberFormat="1" applyFill="1" applyBorder="1" applyAlignment="1" applyProtection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0" xfId="0" applyFill="1" applyProtection="1"/>
    <xf numFmtId="2" fontId="0" fillId="3" borderId="1" xfId="0" applyNumberFormat="1" applyFill="1" applyBorder="1" applyAlignment="1" applyProtection="1">
      <alignment horizontal="center" vertical="center"/>
    </xf>
    <xf numFmtId="164" fontId="0" fillId="3" borderId="1" xfId="0" applyNumberFormat="1" applyFill="1" applyBorder="1" applyProtection="1"/>
    <xf numFmtId="0" fontId="0" fillId="2" borderId="6" xfId="0" applyFill="1" applyBorder="1" applyAlignment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</xf>
    <xf numFmtId="164" fontId="10" fillId="3" borderId="8" xfId="0" applyNumberFormat="1" applyFont="1" applyFill="1" applyBorder="1" applyProtection="1"/>
    <xf numFmtId="164" fontId="5" fillId="3" borderId="8" xfId="0" applyNumberFormat="1" applyFont="1" applyFill="1" applyBorder="1"/>
    <xf numFmtId="0" fontId="13" fillId="0" borderId="0" xfId="0" applyFont="1" applyAlignment="1" applyProtection="1">
      <alignment horizontal="right" wrapText="1"/>
    </xf>
    <xf numFmtId="0" fontId="0" fillId="3" borderId="1" xfId="0" applyNumberFormat="1" applyFill="1" applyBorder="1" applyProtection="1"/>
    <xf numFmtId="1" fontId="12" fillId="3" borderId="0" xfId="0" applyNumberFormat="1" applyFont="1" applyFill="1" applyProtection="1"/>
    <xf numFmtId="164" fontId="0" fillId="2" borderId="1" xfId="0" applyNumberFormat="1" applyFill="1" applyBorder="1" applyProtection="1"/>
    <xf numFmtId="1" fontId="0" fillId="3" borderId="0" xfId="0" applyNumberFormat="1" applyFill="1" applyProtection="1"/>
    <xf numFmtId="164" fontId="0" fillId="0" borderId="0" xfId="0" applyNumberFormat="1" applyProtection="1"/>
    <xf numFmtId="0" fontId="0" fillId="0" borderId="0" xfId="0" applyProtection="1"/>
    <xf numFmtId="164" fontId="9" fillId="0" borderId="11" xfId="0" applyNumberFormat="1" applyFont="1" applyBorder="1" applyAlignment="1" applyProtection="1">
      <alignment horizontal="center" vertical="top" wrapText="1"/>
    </xf>
    <xf numFmtId="164" fontId="9" fillId="0" borderId="12" xfId="0" applyNumberFormat="1" applyFont="1" applyBorder="1" applyAlignment="1" applyProtection="1">
      <alignment horizontal="center" vertical="top" wrapText="1"/>
    </xf>
    <xf numFmtId="164" fontId="9" fillId="0" borderId="13" xfId="0" applyNumberFormat="1" applyFont="1" applyBorder="1" applyAlignment="1" applyProtection="1">
      <alignment horizontal="center" vertical="top" wrapText="1"/>
    </xf>
    <xf numFmtId="164" fontId="9" fillId="0" borderId="14" xfId="0" applyNumberFormat="1" applyFont="1" applyBorder="1" applyAlignment="1" applyProtection="1">
      <alignment horizontal="center" vertical="top" wrapText="1"/>
    </xf>
    <xf numFmtId="164" fontId="14" fillId="0" borderId="10" xfId="0" applyNumberFormat="1" applyFont="1" applyBorder="1" applyProtection="1"/>
    <xf numFmtId="0" fontId="7" fillId="3" borderId="0" xfId="0" applyFont="1" applyFill="1" applyProtection="1"/>
    <xf numFmtId="0" fontId="0" fillId="4" borderId="4" xfId="0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Protection="1">
      <protection locked="0"/>
    </xf>
    <xf numFmtId="0" fontId="9" fillId="2" borderId="4" xfId="0" applyFont="1" applyFill="1" applyBorder="1" applyAlignment="1">
      <alignment horizontal="center"/>
    </xf>
    <xf numFmtId="164" fontId="0" fillId="4" borderId="7" xfId="0" applyNumberFormat="1" applyFill="1" applyBorder="1" applyProtection="1">
      <protection locked="0"/>
    </xf>
    <xf numFmtId="164" fontId="0" fillId="5" borderId="7" xfId="0" applyNumberFormat="1" applyFill="1" applyBorder="1" applyProtection="1"/>
    <xf numFmtId="164" fontId="0" fillId="5" borderId="4" xfId="0" applyNumberFormat="1" applyFill="1" applyBorder="1" applyProtection="1"/>
    <xf numFmtId="164" fontId="0" fillId="5" borderId="15" xfId="0" applyNumberFormat="1" applyFill="1" applyBorder="1" applyProtection="1"/>
    <xf numFmtId="0" fontId="7" fillId="0" borderId="2" xfId="0" applyFont="1" applyBorder="1" applyAlignment="1" applyProtection="1">
      <alignment horizontal="right"/>
    </xf>
    <xf numFmtId="0" fontId="15" fillId="0" borderId="0" xfId="0" applyFont="1"/>
    <xf numFmtId="0" fontId="0" fillId="0" borderId="0" xfId="0" applyAlignment="1">
      <alignment vertical="top"/>
    </xf>
    <xf numFmtId="0" fontId="11" fillId="0" borderId="17" xfId="1" applyFont="1" applyBorder="1" applyAlignment="1" applyProtection="1">
      <alignment vertical="top"/>
    </xf>
    <xf numFmtId="0" fontId="1" fillId="0" borderId="5" xfId="1" applyBorder="1" applyAlignment="1" applyProtection="1">
      <alignment horizontal="center" vertical="center"/>
    </xf>
    <xf numFmtId="164" fontId="1" fillId="0" borderId="17" xfId="1" applyNumberFormat="1" applyBorder="1" applyAlignment="1" applyProtection="1">
      <alignment horizontal="center" vertical="center"/>
      <protection locked="0"/>
    </xf>
    <xf numFmtId="164" fontId="1" fillId="0" borderId="17" xfId="1" applyNumberFormat="1" applyBorder="1" applyAlignment="1" applyProtection="1">
      <alignment horizontal="center" vertical="center" wrapText="1" shrinkToFit="1"/>
    </xf>
    <xf numFmtId="164" fontId="1" fillId="0" borderId="17" xfId="1" applyNumberForma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top"/>
    </xf>
    <xf numFmtId="0" fontId="9" fillId="0" borderId="0" xfId="0" applyFont="1"/>
    <xf numFmtId="0" fontId="16" fillId="0" borderId="0" xfId="0" applyFont="1" applyAlignment="1"/>
    <xf numFmtId="164" fontId="0" fillId="2" borderId="1" xfId="0" applyNumberFormat="1" applyFill="1" applyBorder="1" applyAlignment="1" applyProtection="1">
      <alignment horizontal="center" vertical="center"/>
    </xf>
    <xf numFmtId="0" fontId="17" fillId="0" borderId="16" xfId="0" applyFont="1" applyBorder="1" applyAlignment="1">
      <alignment horizontal="right" vertical="top"/>
    </xf>
    <xf numFmtId="164" fontId="12" fillId="0" borderId="16" xfId="0" applyNumberFormat="1" applyFont="1" applyBorder="1" applyAlignment="1">
      <alignment horizontal="left" vertical="center"/>
    </xf>
    <xf numFmtId="0" fontId="15" fillId="0" borderId="21" xfId="0" applyFont="1" applyBorder="1"/>
    <xf numFmtId="0" fontId="15" fillId="0" borderId="17" xfId="0" applyFont="1" applyBorder="1"/>
    <xf numFmtId="164" fontId="19" fillId="0" borderId="0" xfId="0" applyNumberFormat="1" applyFont="1" applyAlignment="1">
      <alignment horizontal="center" wrapText="1"/>
    </xf>
    <xf numFmtId="164" fontId="20" fillId="0" borderId="0" xfId="0" applyNumberFormat="1" applyFont="1"/>
    <xf numFmtId="164" fontId="20" fillId="0" borderId="0" xfId="0" applyNumberFormat="1" applyFont="1" applyAlignment="1">
      <alignment horizontal="center" wrapText="1"/>
    </xf>
    <xf numFmtId="164" fontId="20" fillId="0" borderId="22" xfId="0" applyNumberFormat="1" applyFont="1" applyBorder="1" applyAlignment="1">
      <alignment horizontal="center" wrapText="1"/>
    </xf>
    <xf numFmtId="0" fontId="15" fillId="0" borderId="20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15" fillId="6" borderId="19" xfId="0" applyFont="1" applyFill="1" applyBorder="1"/>
    <xf numFmtId="0" fontId="15" fillId="6" borderId="4" xfId="0" applyFont="1" applyFill="1" applyBorder="1"/>
    <xf numFmtId="164" fontId="8" fillId="0" borderId="9" xfId="0" applyNumberFormat="1" applyFont="1" applyBorder="1" applyAlignment="1" applyProtection="1">
      <alignment horizontal="right"/>
    </xf>
    <xf numFmtId="0" fontId="9" fillId="0" borderId="0" xfId="0" applyFont="1" applyProtection="1"/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0" fontId="18" fillId="0" borderId="18" xfId="0" applyFont="1" applyBorder="1" applyAlignment="1">
      <alignment vertical="top"/>
    </xf>
  </cellXfs>
  <cellStyles count="6">
    <cellStyle name="Followed Hyperlink" xfId="5" builtinId="9" hidden="1"/>
    <cellStyle name="Followed Hyperlink" xfId="3" builtinId="9" hidden="1"/>
    <cellStyle name="Heading 4" xfId="1" builtinId="19"/>
    <cellStyle name="Hyperlink" xfId="4" builtinId="8" hidden="1"/>
    <cellStyle name="Hyperlink" xfId="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215899</xdr:colOff>
      <xdr:row>19</xdr:row>
      <xdr:rowOff>2453</xdr:rowOff>
    </xdr:from>
    <xdr:to>
      <xdr:col>4</xdr:col>
      <xdr:colOff>25455</xdr:colOff>
      <xdr:row>46</xdr:row>
      <xdr:rowOff>110067</xdr:rowOff>
    </xdr:to>
    <xdr:pic>
      <xdr:nvPicPr>
        <xdr:cNvPr id="2" name="Picture 1" descr="CG Range &amp; Weigh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99" y="4227320"/>
          <a:ext cx="4601689" cy="5407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zoomScale="150" zoomScaleNormal="150" zoomScalePageLayoutView="150" workbookViewId="0">
      <selection activeCell="C2" sqref="C2"/>
    </sheetView>
  </sheetViews>
  <sheetFormatPr defaultColWidth="10.83203125" defaultRowHeight="15.5" x14ac:dyDescent="0.35"/>
  <cols>
    <col min="1" max="1" width="35.5" customWidth="1"/>
    <col min="2" max="2" width="7.25" style="5" customWidth="1"/>
    <col min="3" max="3" width="11.58203125" style="1" customWidth="1"/>
    <col min="4" max="4" width="8.5" style="2" customWidth="1"/>
    <col min="5" max="5" width="11" style="1" customWidth="1"/>
    <col min="6" max="6" width="11.08203125" customWidth="1"/>
  </cols>
  <sheetData>
    <row r="1" spans="1:6" s="43" customFormat="1" ht="22.5" customHeight="1" thickBot="1" x14ac:dyDescent="0.4">
      <c r="A1" s="70" t="s">
        <v>23</v>
      </c>
      <c r="B1" s="49"/>
      <c r="C1" s="54" t="s">
        <v>26</v>
      </c>
      <c r="D1" s="54"/>
      <c r="E1" s="54"/>
      <c r="F1" s="53" t="s">
        <v>24</v>
      </c>
    </row>
    <row r="2" spans="1:6" ht="35" customHeight="1" x14ac:dyDescent="0.35">
      <c r="A2" s="44" t="s">
        <v>13</v>
      </c>
      <c r="B2" s="45" t="s">
        <v>7</v>
      </c>
      <c r="C2" s="46" t="s">
        <v>3</v>
      </c>
      <c r="D2" s="47" t="s">
        <v>31</v>
      </c>
      <c r="E2" s="48" t="s">
        <v>4</v>
      </c>
      <c r="F2" s="21" t="s">
        <v>28</v>
      </c>
    </row>
    <row r="3" spans="1:6" x14ac:dyDescent="0.35">
      <c r="A3" s="10" t="s">
        <v>0</v>
      </c>
      <c r="B3" s="7"/>
      <c r="C3" s="14">
        <v>1719.5</v>
      </c>
      <c r="D3" s="15">
        <v>88.04</v>
      </c>
      <c r="E3" s="22">
        <v>151393</v>
      </c>
      <c r="F3" s="33"/>
    </row>
    <row r="4" spans="1:6" x14ac:dyDescent="0.35">
      <c r="A4" s="9" t="s">
        <v>14</v>
      </c>
      <c r="B4" s="6"/>
      <c r="C4" s="35">
        <v>185</v>
      </c>
      <c r="D4" s="15">
        <v>80.5</v>
      </c>
      <c r="E4" s="16">
        <f t="shared" ref="E4:E11" si="0">C4*D4</f>
        <v>14892.5</v>
      </c>
      <c r="F4" s="23">
        <f t="shared" ref="F4:F11" si="1">C4*0.45359237</f>
        <v>83.914588450000011</v>
      </c>
    </row>
    <row r="5" spans="1:6" x14ac:dyDescent="0.35">
      <c r="A5" s="9" t="s">
        <v>15</v>
      </c>
      <c r="B5" s="6"/>
      <c r="C5" s="35">
        <v>175</v>
      </c>
      <c r="D5" s="15">
        <v>80.5</v>
      </c>
      <c r="E5" s="16">
        <f t="shared" si="0"/>
        <v>14087.5</v>
      </c>
      <c r="F5" s="23">
        <f t="shared" si="1"/>
        <v>79.378664749999999</v>
      </c>
    </row>
    <row r="6" spans="1:6" x14ac:dyDescent="0.35">
      <c r="A6" s="9" t="s">
        <v>16</v>
      </c>
      <c r="B6" s="6"/>
      <c r="C6" s="35">
        <v>165</v>
      </c>
      <c r="D6" s="15">
        <v>118.1</v>
      </c>
      <c r="E6" s="16">
        <f t="shared" si="0"/>
        <v>19486.5</v>
      </c>
      <c r="F6" s="23">
        <f t="shared" si="1"/>
        <v>74.842741050000001</v>
      </c>
    </row>
    <row r="7" spans="1:6" x14ac:dyDescent="0.35">
      <c r="A7" s="9" t="s">
        <v>16</v>
      </c>
      <c r="B7" s="6"/>
      <c r="C7" s="35">
        <v>0</v>
      </c>
      <c r="D7" s="15">
        <v>118.1</v>
      </c>
      <c r="E7" s="16">
        <f t="shared" si="0"/>
        <v>0</v>
      </c>
      <c r="F7" s="23">
        <f t="shared" si="1"/>
        <v>0</v>
      </c>
    </row>
    <row r="8" spans="1:6" x14ac:dyDescent="0.35">
      <c r="A8" s="9" t="s">
        <v>10</v>
      </c>
      <c r="B8" s="6"/>
      <c r="C8" s="35">
        <v>26</v>
      </c>
      <c r="D8" s="15">
        <v>118.1</v>
      </c>
      <c r="E8" s="16">
        <f t="shared" si="0"/>
        <v>3070.6</v>
      </c>
      <c r="F8" s="23">
        <f t="shared" si="1"/>
        <v>11.793401620000001</v>
      </c>
    </row>
    <row r="9" spans="1:6" ht="16" thickBot="1" x14ac:dyDescent="0.4">
      <c r="A9" s="10" t="s">
        <v>1</v>
      </c>
      <c r="B9" s="36" t="s">
        <v>12</v>
      </c>
      <c r="C9" s="37">
        <v>25</v>
      </c>
      <c r="D9" s="15">
        <v>142.80000000000001</v>
      </c>
      <c r="E9" s="16">
        <f t="shared" ref="E9" si="2">C9*D9</f>
        <v>3570.0000000000005</v>
      </c>
      <c r="F9" s="23">
        <f t="shared" ref="F9" si="3">C9*0.45359237</f>
        <v>11.33980925</v>
      </c>
    </row>
    <row r="10" spans="1:6" x14ac:dyDescent="0.35">
      <c r="A10" s="41" t="s">
        <v>18</v>
      </c>
      <c r="B10" s="36"/>
      <c r="C10" s="40">
        <f>SUM(C3:C9)</f>
        <v>2295.5</v>
      </c>
      <c r="D10" s="52"/>
      <c r="E10" s="24"/>
      <c r="F10" s="23"/>
    </row>
    <row r="11" spans="1:6" ht="16" thickBot="1" x14ac:dyDescent="0.4">
      <c r="A11" s="9" t="s">
        <v>11</v>
      </c>
      <c r="B11" s="34">
        <v>160</v>
      </c>
      <c r="C11" s="39">
        <f>B11*1.59</f>
        <v>254.4</v>
      </c>
      <c r="D11" s="15">
        <v>95</v>
      </c>
      <c r="E11" s="16">
        <f t="shared" si="0"/>
        <v>24168</v>
      </c>
      <c r="F11" s="23">
        <f t="shared" si="1"/>
        <v>115.39389892800001</v>
      </c>
    </row>
    <row r="12" spans="1:6" x14ac:dyDescent="0.35">
      <c r="A12" s="10" t="s">
        <v>6</v>
      </c>
      <c r="B12" s="13"/>
      <c r="C12" s="40">
        <f>SUM(C10:C11)</f>
        <v>2549.9</v>
      </c>
      <c r="D12" s="12"/>
      <c r="E12" s="24"/>
      <c r="F12" s="25"/>
    </row>
    <row r="13" spans="1:6" ht="16" thickBot="1" x14ac:dyDescent="0.4">
      <c r="A13" s="11" t="s">
        <v>2</v>
      </c>
      <c r="B13" s="13"/>
      <c r="C13" s="38">
        <v>-8</v>
      </c>
      <c r="D13" s="15">
        <v>95</v>
      </c>
      <c r="E13" s="16">
        <f>C13*D13</f>
        <v>-760</v>
      </c>
      <c r="F13" s="14"/>
    </row>
    <row r="14" spans="1:6" ht="29.5" customHeight="1" thickTop="1" thickBot="1" x14ac:dyDescent="0.6">
      <c r="A14" s="10" t="s">
        <v>9</v>
      </c>
      <c r="B14" s="17"/>
      <c r="C14" s="19">
        <f>C12+C13</f>
        <v>2541.9</v>
      </c>
      <c r="D14" s="18"/>
      <c r="E14" s="16">
        <f>SUM(E3:E11)+E13</f>
        <v>229908.1</v>
      </c>
      <c r="F14" s="23">
        <f t="shared" ref="F14" si="4">C14*0.45359237</f>
        <v>1152.9864453030002</v>
      </c>
    </row>
    <row r="15" spans="1:6" ht="7.5" customHeight="1" thickTop="1" thickBot="1" x14ac:dyDescent="0.4">
      <c r="E15" s="26"/>
      <c r="F15" s="27"/>
    </row>
    <row r="16" spans="1:6" ht="25" customHeight="1" thickTop="1" thickBot="1" x14ac:dyDescent="0.6">
      <c r="A16" s="3" t="s">
        <v>5</v>
      </c>
      <c r="B16" s="4"/>
      <c r="C16" s="20">
        <f>E14/C14</f>
        <v>90.447342539045593</v>
      </c>
      <c r="E16" s="65" t="s">
        <v>30</v>
      </c>
      <c r="F16" s="32">
        <f>(B11-48)/38</f>
        <v>2.9473684210526314</v>
      </c>
    </row>
    <row r="17" spans="1:6" ht="10.5" customHeight="1" thickTop="1" x14ac:dyDescent="0.35">
      <c r="C17" s="69" t="str">
        <f>IF(C14&gt;2550,"OVERWEIGHT"," ")</f>
        <v xml:space="preserve"> </v>
      </c>
      <c r="E17" s="28" t="s">
        <v>17</v>
      </c>
      <c r="F17" s="29"/>
    </row>
    <row r="18" spans="1:6" s="50" customFormat="1" ht="10.5" x14ac:dyDescent="0.25">
      <c r="A18" s="66" t="s">
        <v>8</v>
      </c>
      <c r="B18" s="67"/>
      <c r="C18" s="57" t="s">
        <v>27</v>
      </c>
      <c r="D18" s="68"/>
      <c r="E18" s="28"/>
      <c r="F18" s="29"/>
    </row>
    <row r="19" spans="1:6" s="50" customFormat="1" ht="11" thickBot="1" x14ac:dyDescent="0.3">
      <c r="A19" s="66" t="s">
        <v>29</v>
      </c>
      <c r="B19" s="67"/>
      <c r="C19" s="57"/>
      <c r="D19" s="68"/>
      <c r="E19" s="30"/>
      <c r="F19" s="31"/>
    </row>
    <row r="20" spans="1:6" ht="4" customHeight="1" x14ac:dyDescent="0.35">
      <c r="A20" s="8"/>
    </row>
    <row r="21" spans="1:6" ht="20.5" customHeight="1" thickBot="1" x14ac:dyDescent="0.4">
      <c r="A21" s="8"/>
      <c r="F21" s="42"/>
    </row>
    <row r="22" spans="1:6" x14ac:dyDescent="0.35">
      <c r="F22" s="63" t="s">
        <v>22</v>
      </c>
    </row>
    <row r="23" spans="1:6" x14ac:dyDescent="0.35">
      <c r="F23" s="61"/>
    </row>
    <row r="24" spans="1:6" ht="16" thickBot="1" x14ac:dyDescent="0.4">
      <c r="F24" s="55"/>
    </row>
    <row r="25" spans="1:6" x14ac:dyDescent="0.35">
      <c r="F25" s="63" t="s">
        <v>21</v>
      </c>
    </row>
    <row r="26" spans="1:6" x14ac:dyDescent="0.35">
      <c r="F26" s="61"/>
    </row>
    <row r="27" spans="1:6" ht="16" thickBot="1" x14ac:dyDescent="0.4">
      <c r="F27" s="55"/>
    </row>
    <row r="28" spans="1:6" x14ac:dyDescent="0.35">
      <c r="F28" s="63" t="s">
        <v>20</v>
      </c>
    </row>
    <row r="29" spans="1:6" x14ac:dyDescent="0.35">
      <c r="F29" s="61"/>
    </row>
    <row r="30" spans="1:6" ht="16" thickBot="1" x14ac:dyDescent="0.4">
      <c r="F30" s="55"/>
    </row>
    <row r="31" spans="1:6" x14ac:dyDescent="0.35">
      <c r="F31" s="58" t="str">
        <f>IF(C14&gt;2550,"OVERWEIGHT"," ")</f>
        <v xml:space="preserve"> </v>
      </c>
    </row>
    <row r="32" spans="1:6" x14ac:dyDescent="0.35">
      <c r="F32" s="64" t="s">
        <v>19</v>
      </c>
    </row>
    <row r="33" spans="6:6" x14ac:dyDescent="0.35">
      <c r="F33" s="62"/>
    </row>
    <row r="34" spans="6:6" x14ac:dyDescent="0.35">
      <c r="F34" s="56"/>
    </row>
    <row r="35" spans="6:6" x14ac:dyDescent="0.35">
      <c r="F35" s="60" t="str">
        <f>IF(B11&lt;61,"CHECK FUEL SUFFICIENT"," ")</f>
        <v xml:space="preserve"> </v>
      </c>
    </row>
    <row r="36" spans="6:6" x14ac:dyDescent="0.35">
      <c r="F36" s="59"/>
    </row>
    <row r="38" spans="6:6" x14ac:dyDescent="0.35">
      <c r="F38" s="59" t="str">
        <f>IF(C16&gt;93,"CofG LIMIT EXCEEDED"," ")</f>
        <v xml:space="preserve"> </v>
      </c>
    </row>
    <row r="39" spans="6:6" x14ac:dyDescent="0.35">
      <c r="F39" s="59"/>
    </row>
    <row r="41" spans="6:6" x14ac:dyDescent="0.35">
      <c r="F41" s="59" t="str">
        <f>IF(C16&lt;82,"CofG LIMIT EXCEEDED"," ")</f>
        <v xml:space="preserve"> </v>
      </c>
    </row>
    <row r="42" spans="6:6" x14ac:dyDescent="0.35">
      <c r="F42" s="59"/>
    </row>
    <row r="45" spans="6:6" x14ac:dyDescent="0.35">
      <c r="F45" s="51" t="s">
        <v>25</v>
      </c>
    </row>
  </sheetData>
  <sheetProtection sheet="1" selectLockedCells="1"/>
  <mergeCells count="6">
    <mergeCell ref="F41:F42"/>
    <mergeCell ref="E17:F19"/>
    <mergeCell ref="C1:E1"/>
    <mergeCell ref="C18:C19"/>
    <mergeCell ref="F35:F36"/>
    <mergeCell ref="F38:F39"/>
  </mergeCells>
  <phoneticPr fontId="2" type="noConversion"/>
  <pageMargins left="0.25" right="0.25" top="0.75" bottom="0.75" header="0.3" footer="0.3"/>
  <pageSetup paperSize="9" scale="96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Falloon</dc:creator>
  <cp:lastModifiedBy>Malcolm Matthews</cp:lastModifiedBy>
  <cp:lastPrinted>2022-07-30T15:45:03Z</cp:lastPrinted>
  <dcterms:created xsi:type="dcterms:W3CDTF">2012-05-21T08:22:23Z</dcterms:created>
  <dcterms:modified xsi:type="dcterms:W3CDTF">2022-07-30T15:45:10Z</dcterms:modified>
</cp:coreProperties>
</file>